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95" windowHeight="7830"/>
  </bookViews>
  <sheets>
    <sheet name="결산" sheetId="1" r:id="rId1"/>
  </sheets>
  <definedNames>
    <definedName name="_xlnm._FilterDatabase" localSheetId="0" hidden="1">결산!$A$18:$M$80</definedName>
  </definedNames>
  <calcPr calcId="125725"/>
</workbook>
</file>

<file path=xl/calcChain.xml><?xml version="1.0" encoding="utf-8"?>
<calcChain xmlns="http://schemas.openxmlformats.org/spreadsheetml/2006/main">
  <c r="J75" i="1"/>
  <c r="F75"/>
  <c r="J74"/>
  <c r="J73"/>
  <c r="J72"/>
  <c r="J71"/>
  <c r="F70"/>
  <c r="J70" s="1"/>
  <c r="J69"/>
  <c r="F69"/>
  <c r="K68"/>
  <c r="G67"/>
  <c r="K67" s="1"/>
  <c r="K66"/>
  <c r="G66"/>
  <c r="G65"/>
  <c r="K65" s="1"/>
  <c r="K64"/>
  <c r="G64"/>
  <c r="G63"/>
  <c r="K63" s="1"/>
  <c r="K62"/>
  <c r="G62"/>
  <c r="K61"/>
  <c r="K60"/>
  <c r="G59"/>
  <c r="K59" s="1"/>
  <c r="K58"/>
  <c r="G58"/>
  <c r="K57"/>
  <c r="G56"/>
  <c r="K56" s="1"/>
  <c r="K55"/>
  <c r="K54"/>
  <c r="G54"/>
  <c r="G53"/>
  <c r="K53" s="1"/>
  <c r="K52"/>
  <c r="G52"/>
  <c r="G51"/>
  <c r="K51" s="1"/>
  <c r="K50"/>
  <c r="G50"/>
  <c r="G49"/>
  <c r="K49" s="1"/>
  <c r="K48"/>
  <c r="G48"/>
  <c r="G47"/>
  <c r="K47" s="1"/>
  <c r="K46"/>
  <c r="G46"/>
  <c r="G45"/>
  <c r="K45" s="1"/>
  <c r="K44"/>
  <c r="G44"/>
  <c r="G43"/>
  <c r="K43" s="1"/>
  <c r="K42"/>
  <c r="G42"/>
  <c r="G41"/>
  <c r="K41" s="1"/>
  <c r="K40"/>
  <c r="G40"/>
  <c r="K39"/>
  <c r="K38"/>
  <c r="G37"/>
  <c r="K37" s="1"/>
  <c r="K36"/>
  <c r="G36"/>
  <c r="K35"/>
  <c r="G34"/>
  <c r="K34" s="1"/>
  <c r="L33"/>
  <c r="G33"/>
  <c r="K33" s="1"/>
  <c r="K32"/>
  <c r="G32"/>
  <c r="G31"/>
  <c r="K31" s="1"/>
  <c r="K30"/>
  <c r="G30"/>
  <c r="J29"/>
  <c r="J28"/>
  <c r="J27"/>
  <c r="F26"/>
  <c r="J26" s="1"/>
  <c r="J19" s="1"/>
  <c r="J25"/>
  <c r="J24"/>
  <c r="J23"/>
  <c r="J22"/>
  <c r="F21"/>
  <c r="F20"/>
  <c r="F19" s="1"/>
  <c r="H19" s="1"/>
  <c r="L19"/>
  <c r="G19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F18"/>
  <c r="G11"/>
  <c r="C11"/>
  <c r="D10"/>
  <c r="D9"/>
  <c r="D8"/>
  <c r="D7"/>
  <c r="D5"/>
  <c r="D11" s="1"/>
  <c r="K19" l="1"/>
  <c r="E9"/>
  <c r="E7"/>
  <c r="F7" s="1"/>
  <c r="E4"/>
  <c r="E10"/>
  <c r="F10" s="1"/>
  <c r="E8"/>
  <c r="F8" s="1"/>
  <c r="E6"/>
  <c r="F6" s="1"/>
  <c r="E5"/>
  <c r="F9"/>
  <c r="F5"/>
  <c r="E11" l="1"/>
  <c r="F4"/>
  <c r="F11" s="1"/>
</calcChain>
</file>

<file path=xl/sharedStrings.xml><?xml version="1.0" encoding="utf-8"?>
<sst xmlns="http://schemas.openxmlformats.org/spreadsheetml/2006/main" count="211" uniqueCount="114">
  <si>
    <t>일본 북알프스 경비 내역(07/28~08/02, 5박6일)</t>
    <phoneticPr fontId="3" type="noConversion"/>
  </si>
  <si>
    <t>번호</t>
    <phoneticPr fontId="3" type="noConversion"/>
  </si>
  <si>
    <t>이름</t>
    <phoneticPr fontId="3" type="noConversion"/>
  </si>
  <si>
    <t>기존입금액</t>
    <phoneticPr fontId="3" type="noConversion"/>
  </si>
  <si>
    <t>가불금액</t>
    <phoneticPr fontId="3" type="noConversion"/>
  </si>
  <si>
    <t>인당경비</t>
    <phoneticPr fontId="3" type="noConversion"/>
  </si>
  <si>
    <t>환불금액</t>
    <phoneticPr fontId="3" type="noConversion"/>
  </si>
  <si>
    <t>비고(=가불금액)</t>
    <phoneticPr fontId="3" type="noConversion"/>
  </si>
  <si>
    <t>이현태</t>
    <phoneticPr fontId="3" type="noConversion"/>
  </si>
  <si>
    <t>Andre</t>
    <phoneticPr fontId="3" type="noConversion"/>
  </si>
  <si>
    <t>박일구</t>
    <phoneticPr fontId="3" type="noConversion"/>
  </si>
  <si>
    <t>신민수</t>
    <phoneticPr fontId="3" type="noConversion"/>
  </si>
  <si>
    <t>조국래</t>
    <phoneticPr fontId="3" type="noConversion"/>
  </si>
  <si>
    <t>버스44100원</t>
    <phoneticPr fontId="3" type="noConversion"/>
  </si>
  <si>
    <t>유원균</t>
    <phoneticPr fontId="3" type="noConversion"/>
  </si>
  <si>
    <t>메모리45,000원</t>
    <phoneticPr fontId="3" type="noConversion"/>
  </si>
  <si>
    <t>김종욱</t>
    <phoneticPr fontId="3" type="noConversion"/>
  </si>
  <si>
    <t>합계</t>
    <phoneticPr fontId="3" type="noConversion"/>
  </si>
  <si>
    <t>일본 북알프스 상세 내역(07/28~08/02, 5박6일)</t>
    <phoneticPr fontId="3" type="noConversion"/>
  </si>
  <si>
    <t>북알프스 경비내역(07/28~08/02)</t>
    <phoneticPr fontId="3" type="noConversion"/>
  </si>
  <si>
    <t>지출 ⓑ (100Yen=1500원)</t>
    <phoneticPr fontId="3" type="noConversion"/>
  </si>
  <si>
    <t>수입</t>
    <phoneticPr fontId="3" type="noConversion"/>
  </si>
  <si>
    <t>비고</t>
    <phoneticPr fontId="3" type="noConversion"/>
  </si>
  <si>
    <t>번호</t>
    <phoneticPr fontId="3" type="noConversion"/>
  </si>
  <si>
    <t>날짜</t>
    <phoneticPr fontId="3" type="noConversion"/>
  </si>
  <si>
    <t>출발</t>
    <phoneticPr fontId="3" type="noConversion"/>
  </si>
  <si>
    <t>도착</t>
    <phoneticPr fontId="3" type="noConversion"/>
  </si>
  <si>
    <t>내역</t>
    <phoneticPr fontId="3" type="noConversion"/>
  </si>
  <si>
    <t>지출금액</t>
    <phoneticPr fontId="3" type="noConversion"/>
  </si>
  <si>
    <t>인원</t>
    <phoneticPr fontId="3" type="noConversion"/>
  </si>
  <si>
    <t>단가(원)</t>
    <phoneticPr fontId="3" type="noConversion"/>
  </si>
  <si>
    <t>인터넷</t>
    <phoneticPr fontId="3" type="noConversion"/>
  </si>
  <si>
    <t>인터파크</t>
    <phoneticPr fontId="3" type="noConversion"/>
  </si>
  <si>
    <t>항공료</t>
    <phoneticPr fontId="3" type="noConversion"/>
  </si>
  <si>
    <t>.김종욱제외</t>
    <phoneticPr fontId="3" type="noConversion"/>
  </si>
  <si>
    <t>보험료</t>
    <phoneticPr fontId="3" type="noConversion"/>
  </si>
  <si>
    <t>진주</t>
    <phoneticPr fontId="3" type="noConversion"/>
  </si>
  <si>
    <t>야생화</t>
    <phoneticPr fontId="3" type="noConversion"/>
  </si>
  <si>
    <t>.사전모임</t>
    <phoneticPr fontId="3" type="noConversion"/>
  </si>
  <si>
    <t>전투식량</t>
    <phoneticPr fontId="3" type="noConversion"/>
  </si>
  <si>
    <t>.7끼-49봉</t>
    <phoneticPr fontId="3" type="noConversion"/>
  </si>
  <si>
    <t>가이드북</t>
    <phoneticPr fontId="3" type="noConversion"/>
  </si>
  <si>
    <t>사천</t>
    <phoneticPr fontId="3" type="noConversion"/>
  </si>
  <si>
    <t>탑마트</t>
    <phoneticPr fontId="3" type="noConversion"/>
  </si>
  <si>
    <t>.부식</t>
    <phoneticPr fontId="3" type="noConversion"/>
  </si>
  <si>
    <t>구급약</t>
    <phoneticPr fontId="3" type="noConversion"/>
  </si>
  <si>
    <t>김해</t>
    <phoneticPr fontId="3" type="noConversion"/>
  </si>
  <si>
    <t>버스</t>
    <phoneticPr fontId="3" type="noConversion"/>
  </si>
  <si>
    <t>공항</t>
    <phoneticPr fontId="3" type="noConversion"/>
  </si>
  <si>
    <t>경전철</t>
    <phoneticPr fontId="3" type="noConversion"/>
  </si>
  <si>
    <t>풍경마루</t>
    <phoneticPr fontId="3" type="noConversion"/>
  </si>
  <si>
    <t>점심</t>
    <phoneticPr fontId="3" type="noConversion"/>
  </si>
  <si>
    <t>코리아세븐</t>
    <phoneticPr fontId="3" type="noConversion"/>
  </si>
  <si>
    <t>라면</t>
    <phoneticPr fontId="3" type="noConversion"/>
  </si>
  <si>
    <t>나고야공항</t>
    <phoneticPr fontId="3" type="noConversion"/>
  </si>
  <si>
    <t>나고야</t>
    <phoneticPr fontId="3" type="noConversion"/>
  </si>
  <si>
    <t>전철</t>
    <phoneticPr fontId="3" type="noConversion"/>
  </si>
  <si>
    <t>다카야마</t>
    <phoneticPr fontId="3" type="noConversion"/>
  </si>
  <si>
    <t>버스(왕복)</t>
    <phoneticPr fontId="3" type="noConversion"/>
  </si>
  <si>
    <t>료칸무라야마</t>
    <phoneticPr fontId="3" type="noConversion"/>
  </si>
  <si>
    <t>택시</t>
    <phoneticPr fontId="3" type="noConversion"/>
  </si>
  <si>
    <t>숙박</t>
    <phoneticPr fontId="3" type="noConversion"/>
  </si>
  <si>
    <t>.최진용찬조</t>
    <phoneticPr fontId="3" type="noConversion"/>
  </si>
  <si>
    <t>다카야마버스</t>
    <phoneticPr fontId="3" type="noConversion"/>
  </si>
  <si>
    <t>이현태</t>
  </si>
  <si>
    <t>페밀리마트</t>
    <phoneticPr fontId="3" type="noConversion"/>
  </si>
  <si>
    <t>아침</t>
    <phoneticPr fontId="3" type="noConversion"/>
  </si>
  <si>
    <t>Andre</t>
  </si>
  <si>
    <t>히라유</t>
    <phoneticPr fontId="3" type="noConversion"/>
  </si>
  <si>
    <t>박일구</t>
  </si>
  <si>
    <t>카미코지</t>
    <phoneticPr fontId="3" type="noConversion"/>
  </si>
  <si>
    <t>신민수</t>
  </si>
  <si>
    <t>물품보관소</t>
    <phoneticPr fontId="3" type="noConversion"/>
  </si>
  <si>
    <t>조국래</t>
  </si>
  <si>
    <t>가스,밥</t>
    <phoneticPr fontId="3" type="noConversion"/>
  </si>
  <si>
    <t>유원균</t>
  </si>
  <si>
    <t>야리가다케산장</t>
    <phoneticPr fontId="3" type="noConversion"/>
  </si>
  <si>
    <t>김종욱</t>
  </si>
  <si>
    <t>저녘,아침,점심</t>
    <phoneticPr fontId="3" type="noConversion"/>
  </si>
  <si>
    <t>식사</t>
    <phoneticPr fontId="3" type="noConversion"/>
  </si>
  <si>
    <t>호다카다케산장</t>
    <phoneticPr fontId="3" type="noConversion"/>
  </si>
  <si>
    <t>맥주</t>
    <phoneticPr fontId="3" type="noConversion"/>
  </si>
  <si>
    <t>온천</t>
    <phoneticPr fontId="3" type="noConversion"/>
  </si>
  <si>
    <t>저녘</t>
    <phoneticPr fontId="3" type="noConversion"/>
  </si>
  <si>
    <t>오토하야게스트</t>
    <phoneticPr fontId="3" type="noConversion"/>
  </si>
  <si>
    <t>280엔하우스</t>
    <phoneticPr fontId="3" type="noConversion"/>
  </si>
  <si>
    <t>텐리</t>
    <phoneticPr fontId="3" type="noConversion"/>
  </si>
  <si>
    <t>야마베호텔</t>
    <phoneticPr fontId="3" type="noConversion"/>
  </si>
  <si>
    <t>나라</t>
    <phoneticPr fontId="3" type="noConversion"/>
  </si>
  <si>
    <t>자전거</t>
    <phoneticPr fontId="3" type="noConversion"/>
  </si>
  <si>
    <t>5대</t>
    <phoneticPr fontId="3" type="noConversion"/>
  </si>
  <si>
    <t>로손</t>
    <phoneticPr fontId="3" type="noConversion"/>
  </si>
  <si>
    <t>호류지</t>
    <phoneticPr fontId="3" type="noConversion"/>
  </si>
  <si>
    <t>입장료</t>
    <phoneticPr fontId="3" type="noConversion"/>
  </si>
  <si>
    <t>5명</t>
    <phoneticPr fontId="3" type="noConversion"/>
  </si>
  <si>
    <t>도다이지</t>
    <phoneticPr fontId="3" type="noConversion"/>
  </si>
  <si>
    <t>음료수</t>
    <phoneticPr fontId="3" type="noConversion"/>
  </si>
  <si>
    <t>2명</t>
    <phoneticPr fontId="3" type="noConversion"/>
  </si>
  <si>
    <t>텐리버스</t>
    <phoneticPr fontId="3" type="noConversion"/>
  </si>
  <si>
    <t>나고야성</t>
    <phoneticPr fontId="3" type="noConversion"/>
  </si>
  <si>
    <t>나고야역</t>
    <phoneticPr fontId="3" type="noConversion"/>
  </si>
  <si>
    <t>100엔샵</t>
    <phoneticPr fontId="3" type="noConversion"/>
  </si>
  <si>
    <t>시계</t>
    <phoneticPr fontId="3" type="noConversion"/>
  </si>
  <si>
    <t>일본</t>
    <phoneticPr fontId="3" type="noConversion"/>
  </si>
  <si>
    <t>단체복</t>
    <phoneticPr fontId="3" type="noConversion"/>
  </si>
  <si>
    <t>김해공항</t>
    <phoneticPr fontId="3" type="noConversion"/>
  </si>
  <si>
    <t>김해버스</t>
    <phoneticPr fontId="3" type="noConversion"/>
  </si>
  <si>
    <t>진주계양</t>
    <phoneticPr fontId="3" type="noConversion"/>
  </si>
  <si>
    <t>상평동</t>
    <phoneticPr fontId="3" type="noConversion"/>
  </si>
  <si>
    <t>뒷풀이</t>
    <phoneticPr fontId="3" type="noConversion"/>
  </si>
  <si>
    <t>상평삼게탕</t>
    <phoneticPr fontId="3" type="noConversion"/>
  </si>
  <si>
    <t>통신료</t>
    <phoneticPr fontId="3" type="noConversion"/>
  </si>
  <si>
    <t>사진</t>
    <phoneticPr fontId="3" type="noConversion"/>
  </si>
  <si>
    <t>메모리</t>
    <phoneticPr fontId="3" type="noConversion"/>
  </si>
</sst>
</file>

<file path=xl/styles.xml><?xml version="1.0" encoding="utf-8"?>
<styleSheet xmlns="http://schemas.openxmlformats.org/spreadsheetml/2006/main">
  <numFmts count="11">
    <numFmt numFmtId="41" formatCode="_-* #,##0_-;\-* #,##0_-;_-* &quot;-&quot;_-;_-@_-"/>
    <numFmt numFmtId="43" formatCode="_-* #,##0.00_-;\-* #,##0.00_-;_-* &quot;-&quot;??_-;_-@_-"/>
    <numFmt numFmtId="26" formatCode="\$#,##0.00_);[Red]\(\$#,##0.00\)"/>
    <numFmt numFmtId="176" formatCode="mm\/dd"/>
    <numFmt numFmtId="177" formatCode="&quot;₩&quot;#,##0_);[Red]\(&quot;₩&quot;#,##0\)"/>
    <numFmt numFmtId="178" formatCode="[$¥-411]#,##0_);[Red]\([$¥-411]#,##0\)"/>
    <numFmt numFmtId="179" formatCode="&quot;₩&quot;#,##0"/>
    <numFmt numFmtId="180" formatCode="[$¥-411]#,##0"/>
    <numFmt numFmtId="181" formatCode="0_ "/>
    <numFmt numFmtId="182" formatCode="#,##0_ "/>
    <numFmt numFmtId="183" formatCode="#,##0_);[Red]\(#,##0\)"/>
  </numFmts>
  <fonts count="9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b/>
      <sz val="10"/>
      <color rgb="FFFF0000"/>
      <name val="돋움"/>
      <family val="3"/>
      <charset val="129"/>
    </font>
    <font>
      <sz val="10"/>
      <color rgb="FFFF0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178" fontId="4" fillId="3" borderId="2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 indent="1"/>
    </xf>
    <xf numFmtId="176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6" fontId="5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81" fontId="4" fillId="0" borderId="1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right" vertical="center"/>
    </xf>
    <xf numFmtId="181" fontId="4" fillId="0" borderId="1" xfId="0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177" fontId="7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vertical="center"/>
    </xf>
    <xf numFmtId="177" fontId="7" fillId="4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left" vertical="center" wrapText="1"/>
    </xf>
    <xf numFmtId="182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82" fontId="4" fillId="3" borderId="1" xfId="0" applyNumberFormat="1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right" vertical="center"/>
    </xf>
    <xf numFmtId="178" fontId="4" fillId="3" borderId="1" xfId="0" applyNumberFormat="1" applyFont="1" applyFill="1" applyBorder="1" applyAlignment="1">
      <alignment horizontal="right" vertical="center"/>
    </xf>
    <xf numFmtId="181" fontId="4" fillId="3" borderId="1" xfId="0" applyNumberFormat="1" applyFont="1" applyFill="1" applyBorder="1" applyAlignment="1">
      <alignment horizontal="center" vertical="center"/>
    </xf>
    <xf numFmtId="177" fontId="4" fillId="3" borderId="1" xfId="1" applyNumberFormat="1" applyFont="1" applyFill="1" applyBorder="1" applyAlignment="1">
      <alignment horizontal="right" vertical="center"/>
    </xf>
    <xf numFmtId="178" fontId="4" fillId="3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8" fontId="8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right" vertical="center"/>
    </xf>
    <xf numFmtId="43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183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left" vertical="center" wrapText="1"/>
    </xf>
    <xf numFmtId="177" fontId="5" fillId="5" borderId="2" xfId="0" applyNumberFormat="1" applyFont="1" applyFill="1" applyBorder="1" applyAlignment="1">
      <alignment horizontal="center" vertical="center"/>
    </xf>
    <xf numFmtId="177" fontId="5" fillId="5" borderId="5" xfId="0" applyNumberFormat="1" applyFont="1" applyFill="1" applyBorder="1" applyAlignment="1">
      <alignment horizontal="center" vertical="center"/>
    </xf>
    <xf numFmtId="177" fontId="5" fillId="5" borderId="3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showGridLines="0" tabSelected="1" workbookViewId="0">
      <pane xSplit="5" ySplit="19" topLeftCell="F68" activePane="bottomRight" state="frozen"/>
      <selection pane="topRight" activeCell="F1" sqref="F1"/>
      <selection pane="bottomLeft" activeCell="A20" sqref="A20"/>
      <selection pane="bottomRight" activeCell="H13" sqref="H13"/>
    </sheetView>
  </sheetViews>
  <sheetFormatPr defaultRowHeight="12"/>
  <cols>
    <col min="1" max="1" width="4.44140625" style="8" bestFit="1" customWidth="1"/>
    <col min="2" max="2" width="9.44140625" style="2" bestFit="1" customWidth="1"/>
    <col min="3" max="5" width="11.5546875" style="3" bestFit="1" customWidth="1"/>
    <col min="6" max="6" width="10" style="4" bestFit="1" customWidth="1"/>
    <col min="7" max="7" width="11.6640625" style="5" bestFit="1" customWidth="1"/>
    <col min="8" max="8" width="14.77734375" style="5" customWidth="1"/>
    <col min="9" max="9" width="4.44140625" style="6" bestFit="1" customWidth="1"/>
    <col min="10" max="10" width="8.6640625" style="4" bestFit="1" customWidth="1"/>
    <col min="11" max="11" width="8.88671875" style="5"/>
    <col min="12" max="12" width="9.88671875" style="4" bestFit="1" customWidth="1"/>
    <col min="13" max="13" width="8.88671875" style="7"/>
    <col min="14" max="16384" width="8.88671875" style="8"/>
  </cols>
  <sheetData>
    <row r="1" spans="1:13" ht="25.5">
      <c r="A1" s="1" t="s">
        <v>0</v>
      </c>
    </row>
    <row r="3" spans="1:13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63" t="s">
        <v>7</v>
      </c>
      <c r="H3" s="63"/>
    </row>
    <row r="4" spans="1:13" ht="13.5">
      <c r="A4" s="11">
        <v>1</v>
      </c>
      <c r="B4" s="11" t="s">
        <v>8</v>
      </c>
      <c r="C4" s="12">
        <v>1600000</v>
      </c>
      <c r="D4" s="12"/>
      <c r="E4" s="13">
        <f>ROUNDUP(($H$19/7)+($F$18/6),-3)</f>
        <v>1508000</v>
      </c>
      <c r="F4" s="13">
        <f>ROUNDUP(((C4+D4)-E4),-3)</f>
        <v>92000</v>
      </c>
      <c r="G4" s="14"/>
      <c r="H4" s="15"/>
    </row>
    <row r="5" spans="1:13" ht="13.5">
      <c r="A5" s="16">
        <v>2</v>
      </c>
      <c r="B5" s="16" t="s">
        <v>9</v>
      </c>
      <c r="C5" s="12">
        <v>1600000</v>
      </c>
      <c r="D5" s="12">
        <f>(20000*15)</f>
        <v>300000</v>
      </c>
      <c r="E5" s="13">
        <f>ROUNDUP(($H$19/7)+($F$18/6),-3)</f>
        <v>1508000</v>
      </c>
      <c r="F5" s="13">
        <f>ROUNDUP(((C5+D5)-E5),-3)</f>
        <v>392000</v>
      </c>
      <c r="G5" s="17">
        <v>20000</v>
      </c>
      <c r="H5" s="15"/>
    </row>
    <row r="6" spans="1:13" ht="13.5">
      <c r="A6" s="11">
        <v>3</v>
      </c>
      <c r="B6" s="11" t="s">
        <v>10</v>
      </c>
      <c r="C6" s="12">
        <v>1600000</v>
      </c>
      <c r="D6" s="12"/>
      <c r="E6" s="13">
        <f>ROUNDUP(($H$19/7)+($F$18/6),-3)</f>
        <v>1508000</v>
      </c>
      <c r="F6" s="13">
        <f>ROUNDUP(((C6+D6)-E6),-3)</f>
        <v>92000</v>
      </c>
      <c r="G6" s="14"/>
      <c r="H6" s="15"/>
    </row>
    <row r="7" spans="1:13" ht="13.5">
      <c r="A7" s="16">
        <v>4</v>
      </c>
      <c r="B7" s="11" t="s">
        <v>11</v>
      </c>
      <c r="C7" s="12">
        <v>1600000</v>
      </c>
      <c r="D7" s="12">
        <f>(8000*15)</f>
        <v>120000</v>
      </c>
      <c r="E7" s="13">
        <f>ROUNDUP(($H$19/7)+($F$18/6),-3)</f>
        <v>1508000</v>
      </c>
      <c r="F7" s="13">
        <f>ROUNDUP(((C7+D7)-E7),-3)</f>
        <v>212000</v>
      </c>
      <c r="G7" s="17">
        <v>8000</v>
      </c>
      <c r="H7" s="15"/>
    </row>
    <row r="8" spans="1:13" ht="13.5">
      <c r="A8" s="11">
        <v>5</v>
      </c>
      <c r="B8" s="11" t="s">
        <v>12</v>
      </c>
      <c r="C8" s="12">
        <v>1000000</v>
      </c>
      <c r="D8" s="12">
        <f>(20000*15)+44100</f>
        <v>344100</v>
      </c>
      <c r="E8" s="13">
        <f>ROUNDUP(($H$19/7)+($F$18/6),-3)</f>
        <v>1508000</v>
      </c>
      <c r="F8" s="13">
        <f>ROUNDUP(((C8+D8)-E8),-3)</f>
        <v>-164000</v>
      </c>
      <c r="G8" s="17">
        <v>20000</v>
      </c>
      <c r="H8" s="15" t="s">
        <v>13</v>
      </c>
    </row>
    <row r="9" spans="1:13" ht="13.5">
      <c r="A9" s="16">
        <v>6</v>
      </c>
      <c r="B9" s="11" t="s">
        <v>14</v>
      </c>
      <c r="C9" s="12">
        <v>1000000</v>
      </c>
      <c r="D9" s="12">
        <f>(8000*15)+45000</f>
        <v>165000</v>
      </c>
      <c r="E9" s="13">
        <f>ROUNDUP(($H$19/7)+($F$18/6),-3)</f>
        <v>1508000</v>
      </c>
      <c r="F9" s="13">
        <f>ROUNDUP(((C9+D9)-E9),-3)</f>
        <v>-343000</v>
      </c>
      <c r="G9" s="17">
        <v>7000</v>
      </c>
      <c r="H9" s="15" t="s">
        <v>15</v>
      </c>
    </row>
    <row r="10" spans="1:13" ht="13.5">
      <c r="A10" s="11">
        <v>7</v>
      </c>
      <c r="B10" s="18" t="s">
        <v>16</v>
      </c>
      <c r="C10" s="12">
        <v>0</v>
      </c>
      <c r="D10" s="12">
        <f>(10000*15)</f>
        <v>150000</v>
      </c>
      <c r="E10" s="13">
        <f>ROUNDUP(($H$19/7),-3)</f>
        <v>992000</v>
      </c>
      <c r="F10" s="13">
        <f>ROUNDUP(((C10+D10)-E10),-3)</f>
        <v>-842000</v>
      </c>
      <c r="G10" s="17">
        <v>10000</v>
      </c>
      <c r="H10" s="15"/>
    </row>
    <row r="11" spans="1:13" ht="13.5">
      <c r="A11" s="19">
        <v>8</v>
      </c>
      <c r="B11" s="20" t="s">
        <v>17</v>
      </c>
      <c r="C11" s="21">
        <f>SUM(C4:C10)</f>
        <v>8400000</v>
      </c>
      <c r="D11" s="21">
        <f>SUM(D4:D10)</f>
        <v>1079100</v>
      </c>
      <c r="E11" s="21">
        <f>SUM(E4:E10)</f>
        <v>10040000</v>
      </c>
      <c r="F11" s="21">
        <f>SUM(F4:F10)</f>
        <v>-561000</v>
      </c>
      <c r="G11" s="22">
        <f>SUM(G4:G10)</f>
        <v>65000</v>
      </c>
      <c r="H11" s="23"/>
    </row>
    <row r="14" spans="1:13" ht="25.5">
      <c r="A14" s="1" t="s">
        <v>18</v>
      </c>
    </row>
    <row r="16" spans="1:13" s="6" customFormat="1" ht="13.5" customHeight="1">
      <c r="A16" s="64" t="s">
        <v>19</v>
      </c>
      <c r="B16" s="64"/>
      <c r="C16" s="64"/>
      <c r="D16" s="64"/>
      <c r="E16" s="64"/>
      <c r="F16" s="65" t="s">
        <v>20</v>
      </c>
      <c r="G16" s="65"/>
      <c r="H16" s="65"/>
      <c r="I16" s="65"/>
      <c r="J16" s="65"/>
      <c r="K16" s="65"/>
      <c r="L16" s="66" t="s">
        <v>21</v>
      </c>
      <c r="M16" s="68" t="s">
        <v>22</v>
      </c>
    </row>
    <row r="17" spans="1:13" s="6" customFormat="1" ht="13.5" customHeight="1">
      <c r="A17" s="24" t="s">
        <v>23</v>
      </c>
      <c r="B17" s="24" t="s">
        <v>24</v>
      </c>
      <c r="C17" s="25" t="s">
        <v>25</v>
      </c>
      <c r="D17" s="25" t="s">
        <v>26</v>
      </c>
      <c r="E17" s="25" t="s">
        <v>27</v>
      </c>
      <c r="F17" s="69" t="s">
        <v>28</v>
      </c>
      <c r="G17" s="70"/>
      <c r="H17" s="71"/>
      <c r="I17" s="26" t="s">
        <v>29</v>
      </c>
      <c r="J17" s="72" t="s">
        <v>30</v>
      </c>
      <c r="K17" s="72"/>
      <c r="L17" s="67"/>
      <c r="M17" s="68"/>
    </row>
    <row r="18" spans="1:13" s="35" customFormat="1">
      <c r="A18" s="18">
        <v>1</v>
      </c>
      <c r="B18" s="27">
        <v>41050</v>
      </c>
      <c r="C18" s="28" t="s">
        <v>31</v>
      </c>
      <c r="D18" s="28" t="s">
        <v>32</v>
      </c>
      <c r="E18" s="29" t="s">
        <v>33</v>
      </c>
      <c r="F18" s="13">
        <f>I18*J18</f>
        <v>3100200</v>
      </c>
      <c r="G18" s="30"/>
      <c r="H18" s="30"/>
      <c r="I18" s="31">
        <v>6</v>
      </c>
      <c r="J18" s="32">
        <v>516700</v>
      </c>
      <c r="K18" s="33"/>
      <c r="L18" s="32"/>
      <c r="M18" s="34" t="s">
        <v>34</v>
      </c>
    </row>
    <row r="19" spans="1:13" s="35" customFormat="1">
      <c r="A19" s="18">
        <f>A18+1</f>
        <v>2</v>
      </c>
      <c r="B19" s="27"/>
      <c r="C19" s="28"/>
      <c r="D19" s="28"/>
      <c r="E19" s="29"/>
      <c r="F19" s="36">
        <f>SUM(F20:F79)</f>
        <v>1180183</v>
      </c>
      <c r="G19" s="36">
        <f>(SUM(G20:G79))*15</f>
        <v>5757870</v>
      </c>
      <c r="H19" s="36">
        <f>F19+G19</f>
        <v>6938053</v>
      </c>
      <c r="I19" s="31"/>
      <c r="J19" s="37">
        <f>SUM(J20:J79)</f>
        <v>168597.57142857139</v>
      </c>
      <c r="K19" s="37">
        <f>(SUM(K20:K79))*15</f>
        <v>822552.85714285704</v>
      </c>
      <c r="L19" s="38">
        <f>SUM(L20:L79)</f>
        <v>8475000</v>
      </c>
      <c r="M19" s="34"/>
    </row>
    <row r="20" spans="1:13" s="35" customFormat="1">
      <c r="A20" s="18">
        <f t="shared" ref="A20:A80" si="0">A19+1</f>
        <v>3</v>
      </c>
      <c r="B20" s="27">
        <v>41050</v>
      </c>
      <c r="C20" s="28" t="s">
        <v>31</v>
      </c>
      <c r="D20" s="28"/>
      <c r="E20" s="29" t="s">
        <v>35</v>
      </c>
      <c r="F20" s="13">
        <f>I20*J20</f>
        <v>60193</v>
      </c>
      <c r="G20" s="30"/>
      <c r="H20" s="30"/>
      <c r="I20" s="31">
        <v>7</v>
      </c>
      <c r="J20" s="32">
        <v>8599</v>
      </c>
      <c r="K20" s="33"/>
      <c r="L20" s="32"/>
      <c r="M20" s="34"/>
    </row>
    <row r="21" spans="1:13" s="35" customFormat="1">
      <c r="A21" s="18">
        <f t="shared" si="0"/>
        <v>4</v>
      </c>
      <c r="B21" s="27">
        <v>41108</v>
      </c>
      <c r="C21" s="28" t="s">
        <v>36</v>
      </c>
      <c r="D21" s="28"/>
      <c r="E21" s="29" t="s">
        <v>37</v>
      </c>
      <c r="F21" s="13">
        <f>I21*J21</f>
        <v>63000</v>
      </c>
      <c r="G21" s="30"/>
      <c r="H21" s="30"/>
      <c r="I21" s="31">
        <v>7</v>
      </c>
      <c r="J21" s="32">
        <v>9000</v>
      </c>
      <c r="K21" s="33"/>
      <c r="L21" s="32"/>
      <c r="M21" s="34" t="s">
        <v>38</v>
      </c>
    </row>
    <row r="22" spans="1:13" s="35" customFormat="1">
      <c r="A22" s="18">
        <f t="shared" si="0"/>
        <v>5</v>
      </c>
      <c r="B22" s="27">
        <v>41114</v>
      </c>
      <c r="C22" s="28" t="s">
        <v>31</v>
      </c>
      <c r="D22" s="28"/>
      <c r="E22" s="39" t="s">
        <v>39</v>
      </c>
      <c r="F22" s="13">
        <v>196000</v>
      </c>
      <c r="G22" s="30"/>
      <c r="H22" s="30"/>
      <c r="I22" s="31">
        <v>7</v>
      </c>
      <c r="J22" s="32">
        <f t="shared" ref="J22:J29" si="1">F22/I22</f>
        <v>28000</v>
      </c>
      <c r="K22" s="33"/>
      <c r="L22" s="32"/>
      <c r="M22" s="34" t="s">
        <v>40</v>
      </c>
    </row>
    <row r="23" spans="1:13" s="35" customFormat="1">
      <c r="A23" s="18">
        <f t="shared" si="0"/>
        <v>6</v>
      </c>
      <c r="B23" s="27">
        <v>41114</v>
      </c>
      <c r="C23" s="28" t="s">
        <v>31</v>
      </c>
      <c r="D23" s="28"/>
      <c r="E23" s="29" t="s">
        <v>41</v>
      </c>
      <c r="F23" s="13">
        <v>12500</v>
      </c>
      <c r="G23" s="30"/>
      <c r="H23" s="30"/>
      <c r="I23" s="31">
        <v>7</v>
      </c>
      <c r="J23" s="32">
        <f t="shared" si="1"/>
        <v>1785.7142857142858</v>
      </c>
      <c r="K23" s="33"/>
      <c r="L23" s="32"/>
      <c r="M23" s="34"/>
    </row>
    <row r="24" spans="1:13" s="35" customFormat="1">
      <c r="A24" s="18">
        <f t="shared" si="0"/>
        <v>7</v>
      </c>
      <c r="B24" s="27">
        <v>41114</v>
      </c>
      <c r="C24" s="28" t="s">
        <v>42</v>
      </c>
      <c r="D24" s="28"/>
      <c r="E24" s="29" t="s">
        <v>43</v>
      </c>
      <c r="F24" s="13">
        <v>146700</v>
      </c>
      <c r="G24" s="30"/>
      <c r="H24" s="30"/>
      <c r="I24" s="31">
        <v>7</v>
      </c>
      <c r="J24" s="32">
        <f t="shared" si="1"/>
        <v>20957.142857142859</v>
      </c>
      <c r="K24" s="33"/>
      <c r="L24" s="32"/>
      <c r="M24" s="34" t="s">
        <v>44</v>
      </c>
    </row>
    <row r="25" spans="1:13" s="35" customFormat="1">
      <c r="A25" s="18">
        <f t="shared" si="0"/>
        <v>8</v>
      </c>
      <c r="B25" s="27">
        <v>41117</v>
      </c>
      <c r="C25" s="28" t="s">
        <v>42</v>
      </c>
      <c r="D25" s="28"/>
      <c r="E25" s="40" t="s">
        <v>45</v>
      </c>
      <c r="F25" s="13">
        <v>8000</v>
      </c>
      <c r="G25" s="30"/>
      <c r="H25" s="30"/>
      <c r="I25" s="31">
        <v>7</v>
      </c>
      <c r="J25" s="32">
        <f t="shared" si="1"/>
        <v>1142.8571428571429</v>
      </c>
      <c r="K25" s="33"/>
      <c r="L25" s="32"/>
      <c r="M25" s="41"/>
    </row>
    <row r="26" spans="1:13" s="35" customFormat="1">
      <c r="A26" s="18">
        <f t="shared" si="0"/>
        <v>9</v>
      </c>
      <c r="B26" s="42">
        <v>41118</v>
      </c>
      <c r="C26" s="43" t="s">
        <v>36</v>
      </c>
      <c r="D26" s="43" t="s">
        <v>46</v>
      </c>
      <c r="E26" s="44" t="s">
        <v>47</v>
      </c>
      <c r="F26" s="45">
        <f>6300*7</f>
        <v>44100</v>
      </c>
      <c r="G26" s="46"/>
      <c r="H26" s="46"/>
      <c r="I26" s="47">
        <v>7</v>
      </c>
      <c r="J26" s="48">
        <f t="shared" si="1"/>
        <v>6300</v>
      </c>
      <c r="K26" s="49"/>
      <c r="L26" s="50"/>
      <c r="M26" s="28"/>
    </row>
    <row r="27" spans="1:13" s="35" customFormat="1">
      <c r="A27" s="18">
        <f t="shared" si="0"/>
        <v>10</v>
      </c>
      <c r="B27" s="42">
        <v>41118</v>
      </c>
      <c r="C27" s="43" t="s">
        <v>46</v>
      </c>
      <c r="D27" s="43" t="s">
        <v>48</v>
      </c>
      <c r="E27" s="44" t="s">
        <v>49</v>
      </c>
      <c r="F27" s="45">
        <v>10500</v>
      </c>
      <c r="G27" s="46"/>
      <c r="H27" s="46"/>
      <c r="I27" s="47">
        <v>7</v>
      </c>
      <c r="J27" s="48">
        <f t="shared" si="1"/>
        <v>1500</v>
      </c>
      <c r="K27" s="49"/>
      <c r="L27" s="50"/>
      <c r="M27" s="28"/>
    </row>
    <row r="28" spans="1:13" s="35" customFormat="1">
      <c r="A28" s="18">
        <f t="shared" si="0"/>
        <v>11</v>
      </c>
      <c r="B28" s="42">
        <v>41118</v>
      </c>
      <c r="C28" s="43" t="s">
        <v>46</v>
      </c>
      <c r="D28" s="43" t="s">
        <v>50</v>
      </c>
      <c r="E28" s="44" t="s">
        <v>51</v>
      </c>
      <c r="F28" s="45">
        <v>71000</v>
      </c>
      <c r="G28" s="46"/>
      <c r="H28" s="46"/>
      <c r="I28" s="47">
        <v>7</v>
      </c>
      <c r="J28" s="48">
        <f t="shared" si="1"/>
        <v>10142.857142857143</v>
      </c>
      <c r="K28" s="49"/>
      <c r="L28" s="50"/>
      <c r="M28" s="28"/>
    </row>
    <row r="29" spans="1:13" s="35" customFormat="1">
      <c r="A29" s="18">
        <f t="shared" si="0"/>
        <v>12</v>
      </c>
      <c r="B29" s="42">
        <v>41118</v>
      </c>
      <c r="C29" s="43" t="s">
        <v>46</v>
      </c>
      <c r="D29" s="43" t="s">
        <v>52</v>
      </c>
      <c r="E29" s="43" t="s">
        <v>53</v>
      </c>
      <c r="F29" s="45">
        <v>8750</v>
      </c>
      <c r="G29" s="46"/>
      <c r="H29" s="46"/>
      <c r="I29" s="47">
        <v>7</v>
      </c>
      <c r="J29" s="48">
        <f t="shared" si="1"/>
        <v>1250</v>
      </c>
      <c r="K29" s="49"/>
      <c r="L29" s="50"/>
      <c r="M29" s="28"/>
    </row>
    <row r="30" spans="1:13" s="35" customFormat="1">
      <c r="A30" s="18">
        <f t="shared" si="0"/>
        <v>13</v>
      </c>
      <c r="B30" s="42">
        <v>41118</v>
      </c>
      <c r="C30" s="43" t="s">
        <v>54</v>
      </c>
      <c r="D30" s="43" t="s">
        <v>55</v>
      </c>
      <c r="E30" s="44" t="s">
        <v>56</v>
      </c>
      <c r="F30" s="45"/>
      <c r="G30" s="46">
        <f>850*7</f>
        <v>5950</v>
      </c>
      <c r="H30" s="46"/>
      <c r="I30" s="47">
        <v>7</v>
      </c>
      <c r="J30" s="48"/>
      <c r="K30" s="49">
        <f>G30/I30</f>
        <v>850</v>
      </c>
      <c r="L30" s="50"/>
      <c r="M30" s="28"/>
    </row>
    <row r="31" spans="1:13" s="35" customFormat="1">
      <c r="A31" s="18">
        <f t="shared" si="0"/>
        <v>14</v>
      </c>
      <c r="B31" s="42">
        <v>41118</v>
      </c>
      <c r="C31" s="43" t="s">
        <v>55</v>
      </c>
      <c r="D31" s="43" t="s">
        <v>57</v>
      </c>
      <c r="E31" s="44" t="s">
        <v>58</v>
      </c>
      <c r="F31" s="45"/>
      <c r="G31" s="51">
        <f>5000*7</f>
        <v>35000</v>
      </c>
      <c r="H31" s="46"/>
      <c r="I31" s="47">
        <v>7</v>
      </c>
      <c r="J31" s="48"/>
      <c r="K31" s="49">
        <f t="shared" ref="K31:K57" si="2">G31/I31</f>
        <v>5000</v>
      </c>
      <c r="L31" s="50"/>
      <c r="M31" s="28"/>
    </row>
    <row r="32" spans="1:13" s="35" customFormat="1">
      <c r="A32" s="18">
        <f t="shared" si="0"/>
        <v>15</v>
      </c>
      <c r="B32" s="42">
        <v>41118</v>
      </c>
      <c r="C32" s="43" t="s">
        <v>57</v>
      </c>
      <c r="D32" s="43" t="s">
        <v>59</v>
      </c>
      <c r="E32" s="44" t="s">
        <v>60</v>
      </c>
      <c r="F32" s="45"/>
      <c r="G32" s="46">
        <f>880+960</f>
        <v>1840</v>
      </c>
      <c r="H32" s="46"/>
      <c r="I32" s="47">
        <v>7</v>
      </c>
      <c r="J32" s="48"/>
      <c r="K32" s="49">
        <f t="shared" si="2"/>
        <v>262.85714285714283</v>
      </c>
      <c r="L32" s="50"/>
      <c r="M32" s="28"/>
    </row>
    <row r="33" spans="1:13" s="35" customFormat="1">
      <c r="A33" s="18">
        <f t="shared" si="0"/>
        <v>16</v>
      </c>
      <c r="B33" s="42">
        <v>41118</v>
      </c>
      <c r="C33" s="43" t="s">
        <v>57</v>
      </c>
      <c r="D33" s="43" t="s">
        <v>59</v>
      </c>
      <c r="E33" s="44" t="s">
        <v>61</v>
      </c>
      <c r="F33" s="45"/>
      <c r="G33" s="51">
        <f>3950*7</f>
        <v>27650</v>
      </c>
      <c r="H33" s="46"/>
      <c r="I33" s="47">
        <v>7</v>
      </c>
      <c r="J33" s="48"/>
      <c r="K33" s="49">
        <f t="shared" si="2"/>
        <v>3950</v>
      </c>
      <c r="L33" s="48">
        <f>5000*15</f>
        <v>75000</v>
      </c>
      <c r="M33" s="52" t="s">
        <v>62</v>
      </c>
    </row>
    <row r="34" spans="1:13" s="35" customFormat="1">
      <c r="A34" s="18">
        <f t="shared" si="0"/>
        <v>17</v>
      </c>
      <c r="B34" s="27">
        <v>41119</v>
      </c>
      <c r="C34" s="28" t="s">
        <v>59</v>
      </c>
      <c r="D34" s="28" t="s">
        <v>63</v>
      </c>
      <c r="E34" s="40" t="s">
        <v>60</v>
      </c>
      <c r="F34" s="13"/>
      <c r="G34" s="30">
        <f>980*2</f>
        <v>1960</v>
      </c>
      <c r="H34" s="30"/>
      <c r="I34" s="31">
        <v>7</v>
      </c>
      <c r="J34" s="32"/>
      <c r="K34" s="33">
        <f t="shared" si="2"/>
        <v>280</v>
      </c>
      <c r="L34" s="12">
        <v>1600000</v>
      </c>
      <c r="M34" s="28" t="s">
        <v>64</v>
      </c>
    </row>
    <row r="35" spans="1:13" s="35" customFormat="1">
      <c r="A35" s="18">
        <f t="shared" si="0"/>
        <v>18</v>
      </c>
      <c r="B35" s="27">
        <v>41119</v>
      </c>
      <c r="C35" s="28" t="s">
        <v>57</v>
      </c>
      <c r="D35" s="28" t="s">
        <v>65</v>
      </c>
      <c r="E35" s="40" t="s">
        <v>66</v>
      </c>
      <c r="F35" s="13"/>
      <c r="G35" s="53">
        <v>1891</v>
      </c>
      <c r="H35" s="30"/>
      <c r="I35" s="31">
        <v>7</v>
      </c>
      <c r="J35" s="32"/>
      <c r="K35" s="33">
        <f t="shared" si="2"/>
        <v>270.14285714285717</v>
      </c>
      <c r="L35" s="12">
        <v>1600000</v>
      </c>
      <c r="M35" s="54" t="s">
        <v>67</v>
      </c>
    </row>
    <row r="36" spans="1:13" s="35" customFormat="1">
      <c r="A36" s="18">
        <f t="shared" si="0"/>
        <v>19</v>
      </c>
      <c r="B36" s="27">
        <v>41119</v>
      </c>
      <c r="C36" s="28" t="s">
        <v>57</v>
      </c>
      <c r="D36" s="28" t="s">
        <v>68</v>
      </c>
      <c r="E36" s="40" t="s">
        <v>47</v>
      </c>
      <c r="F36" s="13"/>
      <c r="G36" s="30">
        <f>1530*7</f>
        <v>10710</v>
      </c>
      <c r="H36" s="30"/>
      <c r="I36" s="31">
        <v>7</v>
      </c>
      <c r="J36" s="32"/>
      <c r="K36" s="33">
        <f t="shared" si="2"/>
        <v>1530</v>
      </c>
      <c r="L36" s="12">
        <v>1600000</v>
      </c>
      <c r="M36" s="28" t="s">
        <v>69</v>
      </c>
    </row>
    <row r="37" spans="1:13" s="35" customFormat="1">
      <c r="A37" s="18">
        <f t="shared" si="0"/>
        <v>20</v>
      </c>
      <c r="B37" s="27">
        <v>41119</v>
      </c>
      <c r="C37" s="28" t="s">
        <v>68</v>
      </c>
      <c r="D37" s="28" t="s">
        <v>70</v>
      </c>
      <c r="E37" s="40" t="s">
        <v>47</v>
      </c>
      <c r="F37" s="13"/>
      <c r="G37" s="30">
        <f>1130*7</f>
        <v>7910</v>
      </c>
      <c r="H37" s="30"/>
      <c r="I37" s="31">
        <v>7</v>
      </c>
      <c r="J37" s="32"/>
      <c r="K37" s="33">
        <f t="shared" si="2"/>
        <v>1130</v>
      </c>
      <c r="L37" s="12">
        <v>1600000</v>
      </c>
      <c r="M37" s="28" t="s">
        <v>71</v>
      </c>
    </row>
    <row r="38" spans="1:13" s="35" customFormat="1">
      <c r="A38" s="18">
        <f t="shared" si="0"/>
        <v>21</v>
      </c>
      <c r="B38" s="27">
        <v>41119</v>
      </c>
      <c r="C38" s="28" t="s">
        <v>70</v>
      </c>
      <c r="D38" s="28" t="s">
        <v>70</v>
      </c>
      <c r="E38" s="28" t="s">
        <v>72</v>
      </c>
      <c r="F38" s="13"/>
      <c r="G38" s="30">
        <v>9450</v>
      </c>
      <c r="H38" s="30"/>
      <c r="I38" s="31">
        <v>7</v>
      </c>
      <c r="J38" s="32"/>
      <c r="K38" s="33">
        <f t="shared" si="2"/>
        <v>1350</v>
      </c>
      <c r="L38" s="12">
        <v>1000000</v>
      </c>
      <c r="M38" s="28" t="s">
        <v>73</v>
      </c>
    </row>
    <row r="39" spans="1:13" s="35" customFormat="1">
      <c r="A39" s="18">
        <f t="shared" si="0"/>
        <v>22</v>
      </c>
      <c r="B39" s="27">
        <v>41119</v>
      </c>
      <c r="C39" s="28" t="s">
        <v>70</v>
      </c>
      <c r="D39" s="28" t="s">
        <v>70</v>
      </c>
      <c r="E39" s="40" t="s">
        <v>74</v>
      </c>
      <c r="F39" s="13"/>
      <c r="G39" s="30">
        <v>1000</v>
      </c>
      <c r="H39" s="30"/>
      <c r="I39" s="31">
        <v>7</v>
      </c>
      <c r="J39" s="32"/>
      <c r="K39" s="33">
        <f t="shared" si="2"/>
        <v>142.85714285714286</v>
      </c>
      <c r="L39" s="12">
        <v>1000000</v>
      </c>
      <c r="M39" s="28" t="s">
        <v>75</v>
      </c>
    </row>
    <row r="40" spans="1:13" s="35" customFormat="1">
      <c r="A40" s="18">
        <f t="shared" si="0"/>
        <v>23</v>
      </c>
      <c r="B40" s="27">
        <v>41119</v>
      </c>
      <c r="C40" s="28" t="s">
        <v>70</v>
      </c>
      <c r="D40" s="28" t="s">
        <v>76</v>
      </c>
      <c r="E40" s="40" t="s">
        <v>61</v>
      </c>
      <c r="F40" s="13"/>
      <c r="G40" s="30">
        <f>6000*7</f>
        <v>42000</v>
      </c>
      <c r="H40" s="30"/>
      <c r="I40" s="31">
        <v>7</v>
      </c>
      <c r="J40" s="32"/>
      <c r="K40" s="33">
        <f t="shared" si="2"/>
        <v>6000</v>
      </c>
      <c r="L40" s="12">
        <v>0</v>
      </c>
      <c r="M40" s="28" t="s">
        <v>77</v>
      </c>
    </row>
    <row r="41" spans="1:13" s="35" customFormat="1">
      <c r="A41" s="18">
        <f t="shared" si="0"/>
        <v>24</v>
      </c>
      <c r="B41" s="27">
        <v>41119</v>
      </c>
      <c r="C41" s="28" t="s">
        <v>76</v>
      </c>
      <c r="D41" s="40" t="s">
        <v>78</v>
      </c>
      <c r="E41" s="40" t="s">
        <v>79</v>
      </c>
      <c r="F41" s="13"/>
      <c r="G41" s="30">
        <f>4000*7</f>
        <v>28000</v>
      </c>
      <c r="H41" s="30"/>
      <c r="I41" s="31">
        <v>7</v>
      </c>
      <c r="J41" s="32"/>
      <c r="K41" s="33">
        <f t="shared" si="2"/>
        <v>4000</v>
      </c>
      <c r="L41" s="32"/>
      <c r="M41" s="41"/>
    </row>
    <row r="42" spans="1:13" s="35" customFormat="1">
      <c r="A42" s="18">
        <f t="shared" si="0"/>
        <v>25</v>
      </c>
      <c r="B42" s="42">
        <v>41120</v>
      </c>
      <c r="C42" s="43" t="s">
        <v>76</v>
      </c>
      <c r="D42" s="43" t="s">
        <v>80</v>
      </c>
      <c r="E42" s="44" t="s">
        <v>61</v>
      </c>
      <c r="F42" s="45"/>
      <c r="G42" s="46">
        <f>6000*7</f>
        <v>42000</v>
      </c>
      <c r="H42" s="46"/>
      <c r="I42" s="47">
        <v>7</v>
      </c>
      <c r="J42" s="48"/>
      <c r="K42" s="49">
        <f t="shared" si="2"/>
        <v>6000</v>
      </c>
      <c r="L42" s="48"/>
      <c r="M42" s="52"/>
    </row>
    <row r="43" spans="1:13" s="35" customFormat="1">
      <c r="A43" s="18">
        <f t="shared" si="0"/>
        <v>26</v>
      </c>
      <c r="B43" s="42">
        <v>41120</v>
      </c>
      <c r="C43" s="43" t="s">
        <v>80</v>
      </c>
      <c r="D43" s="44" t="s">
        <v>66</v>
      </c>
      <c r="E43" s="44" t="s">
        <v>79</v>
      </c>
      <c r="F43" s="45"/>
      <c r="G43" s="46">
        <f>1300*7</f>
        <v>9100</v>
      </c>
      <c r="H43" s="46"/>
      <c r="I43" s="47">
        <v>7</v>
      </c>
      <c r="J43" s="48"/>
      <c r="K43" s="49">
        <f t="shared" si="2"/>
        <v>1300</v>
      </c>
      <c r="L43" s="48"/>
      <c r="M43" s="52"/>
    </row>
    <row r="44" spans="1:13" s="35" customFormat="1">
      <c r="A44" s="18">
        <f t="shared" si="0"/>
        <v>27</v>
      </c>
      <c r="B44" s="42">
        <v>41120</v>
      </c>
      <c r="C44" s="43" t="s">
        <v>80</v>
      </c>
      <c r="D44" s="43" t="s">
        <v>80</v>
      </c>
      <c r="E44" s="44" t="s">
        <v>81</v>
      </c>
      <c r="F44" s="45"/>
      <c r="G44" s="46">
        <f>840*4</f>
        <v>3360</v>
      </c>
      <c r="H44" s="46"/>
      <c r="I44" s="47">
        <v>7</v>
      </c>
      <c r="J44" s="48"/>
      <c r="K44" s="49">
        <f t="shared" si="2"/>
        <v>480</v>
      </c>
      <c r="L44" s="48"/>
      <c r="M44" s="52"/>
    </row>
    <row r="45" spans="1:13" s="35" customFormat="1">
      <c r="A45" s="18">
        <f t="shared" si="0"/>
        <v>28</v>
      </c>
      <c r="B45" s="27">
        <v>41121</v>
      </c>
      <c r="C45" s="28" t="s">
        <v>70</v>
      </c>
      <c r="D45" s="28" t="s">
        <v>68</v>
      </c>
      <c r="E45" s="40" t="s">
        <v>47</v>
      </c>
      <c r="F45" s="13"/>
      <c r="G45" s="30">
        <f>1130*7</f>
        <v>7910</v>
      </c>
      <c r="H45" s="30"/>
      <c r="I45" s="31">
        <v>7</v>
      </c>
      <c r="J45" s="32"/>
      <c r="K45" s="33">
        <f t="shared" si="2"/>
        <v>1130</v>
      </c>
      <c r="L45" s="32"/>
      <c r="M45" s="41"/>
    </row>
    <row r="46" spans="1:13" s="35" customFormat="1">
      <c r="A46" s="18">
        <f t="shared" si="0"/>
        <v>29</v>
      </c>
      <c r="B46" s="27">
        <v>41121</v>
      </c>
      <c r="C46" s="28" t="s">
        <v>68</v>
      </c>
      <c r="D46" s="28" t="s">
        <v>68</v>
      </c>
      <c r="E46" s="40" t="s">
        <v>82</v>
      </c>
      <c r="F46" s="13"/>
      <c r="G46" s="30">
        <f>300*7</f>
        <v>2100</v>
      </c>
      <c r="H46" s="30"/>
      <c r="I46" s="31">
        <v>7</v>
      </c>
      <c r="J46" s="32"/>
      <c r="K46" s="33">
        <f t="shared" si="2"/>
        <v>300</v>
      </c>
      <c r="L46" s="32"/>
      <c r="M46" s="41"/>
    </row>
    <row r="47" spans="1:13" s="35" customFormat="1">
      <c r="A47" s="18">
        <f t="shared" si="0"/>
        <v>30</v>
      </c>
      <c r="B47" s="27">
        <v>41121</v>
      </c>
      <c r="C47" s="28" t="s">
        <v>68</v>
      </c>
      <c r="D47" s="28" t="s">
        <v>68</v>
      </c>
      <c r="E47" s="40" t="s">
        <v>81</v>
      </c>
      <c r="F47" s="13"/>
      <c r="G47" s="30">
        <f>420*7</f>
        <v>2940</v>
      </c>
      <c r="H47" s="30"/>
      <c r="I47" s="31">
        <v>7</v>
      </c>
      <c r="J47" s="32"/>
      <c r="K47" s="33">
        <f t="shared" si="2"/>
        <v>420</v>
      </c>
      <c r="L47" s="32"/>
      <c r="M47" s="41"/>
    </row>
    <row r="48" spans="1:13" s="35" customFormat="1">
      <c r="A48" s="18">
        <f t="shared" si="0"/>
        <v>31</v>
      </c>
      <c r="B48" s="27">
        <v>41121</v>
      </c>
      <c r="C48" s="28" t="s">
        <v>68</v>
      </c>
      <c r="D48" s="28" t="s">
        <v>57</v>
      </c>
      <c r="E48" s="40" t="s">
        <v>47</v>
      </c>
      <c r="F48" s="13"/>
      <c r="G48" s="30">
        <f>1530*7</f>
        <v>10710</v>
      </c>
      <c r="H48" s="30"/>
      <c r="I48" s="31">
        <v>7</v>
      </c>
      <c r="J48" s="32"/>
      <c r="K48" s="33">
        <f t="shared" si="2"/>
        <v>1530</v>
      </c>
      <c r="L48" s="32"/>
      <c r="M48" s="41"/>
    </row>
    <row r="49" spans="1:13" s="35" customFormat="1">
      <c r="A49" s="18">
        <f t="shared" si="0"/>
        <v>32</v>
      </c>
      <c r="B49" s="27">
        <v>41121</v>
      </c>
      <c r="C49" s="28" t="s">
        <v>57</v>
      </c>
      <c r="D49" s="28" t="s">
        <v>57</v>
      </c>
      <c r="E49" s="40" t="s">
        <v>83</v>
      </c>
      <c r="F49" s="13"/>
      <c r="G49" s="30">
        <f>750*7+350*2</f>
        <v>5950</v>
      </c>
      <c r="H49" s="30"/>
      <c r="I49" s="31">
        <v>7</v>
      </c>
      <c r="J49" s="32"/>
      <c r="K49" s="33">
        <f t="shared" si="2"/>
        <v>850</v>
      </c>
      <c r="L49" s="32"/>
      <c r="M49" s="41"/>
    </row>
    <row r="50" spans="1:13" s="35" customFormat="1">
      <c r="A50" s="18">
        <f t="shared" si="0"/>
        <v>33</v>
      </c>
      <c r="B50" s="27">
        <v>41121</v>
      </c>
      <c r="C50" s="28" t="s">
        <v>55</v>
      </c>
      <c r="D50" s="40" t="s">
        <v>84</v>
      </c>
      <c r="E50" s="40" t="s">
        <v>60</v>
      </c>
      <c r="F50" s="13"/>
      <c r="G50" s="30">
        <f>580*2</f>
        <v>1160</v>
      </c>
      <c r="H50" s="30"/>
      <c r="I50" s="31">
        <v>7</v>
      </c>
      <c r="J50" s="32"/>
      <c r="K50" s="33">
        <f>G50/I50</f>
        <v>165.71428571428572</v>
      </c>
      <c r="L50" s="32"/>
      <c r="M50" s="41"/>
    </row>
    <row r="51" spans="1:13" s="35" customFormat="1">
      <c r="A51" s="18">
        <f t="shared" si="0"/>
        <v>34</v>
      </c>
      <c r="B51" s="27">
        <v>41121</v>
      </c>
      <c r="C51" s="40" t="s">
        <v>84</v>
      </c>
      <c r="D51" s="40" t="s">
        <v>84</v>
      </c>
      <c r="E51" s="40" t="s">
        <v>61</v>
      </c>
      <c r="F51" s="13"/>
      <c r="G51" s="30">
        <f>18100+500</f>
        <v>18600</v>
      </c>
      <c r="H51" s="30"/>
      <c r="I51" s="31">
        <v>7</v>
      </c>
      <c r="J51" s="32"/>
      <c r="K51" s="33">
        <f t="shared" si="2"/>
        <v>2657.1428571428573</v>
      </c>
      <c r="L51" s="32"/>
      <c r="M51" s="41"/>
    </row>
    <row r="52" spans="1:13" s="35" customFormat="1">
      <c r="A52" s="18">
        <f t="shared" si="0"/>
        <v>35</v>
      </c>
      <c r="B52" s="27">
        <v>41121</v>
      </c>
      <c r="C52" s="28" t="s">
        <v>55</v>
      </c>
      <c r="D52" s="28" t="s">
        <v>55</v>
      </c>
      <c r="E52" s="40" t="s">
        <v>85</v>
      </c>
      <c r="F52" s="13"/>
      <c r="G52" s="30">
        <f>4116+294+294+2058</f>
        <v>6762</v>
      </c>
      <c r="H52" s="30"/>
      <c r="I52" s="31">
        <v>7</v>
      </c>
      <c r="J52" s="32"/>
      <c r="K52" s="33">
        <f>G52/I52</f>
        <v>966</v>
      </c>
      <c r="L52" s="32"/>
      <c r="M52" s="41"/>
    </row>
    <row r="53" spans="1:13" s="35" customFormat="1">
      <c r="A53" s="18">
        <f t="shared" si="0"/>
        <v>36</v>
      </c>
      <c r="B53" s="42">
        <v>41122</v>
      </c>
      <c r="C53" s="43" t="s">
        <v>55</v>
      </c>
      <c r="D53" s="43" t="s">
        <v>86</v>
      </c>
      <c r="E53" s="44" t="s">
        <v>58</v>
      </c>
      <c r="F53" s="45"/>
      <c r="G53" s="51">
        <f>5000*7</f>
        <v>35000</v>
      </c>
      <c r="H53" s="46"/>
      <c r="I53" s="47">
        <v>7</v>
      </c>
      <c r="J53" s="48"/>
      <c r="K53" s="49">
        <f>G53/I53</f>
        <v>5000</v>
      </c>
      <c r="L53" s="48"/>
      <c r="M53" s="52"/>
    </row>
    <row r="54" spans="1:13" s="35" customFormat="1">
      <c r="A54" s="18">
        <f t="shared" si="0"/>
        <v>37</v>
      </c>
      <c r="B54" s="42">
        <v>41122</v>
      </c>
      <c r="C54" s="43" t="s">
        <v>86</v>
      </c>
      <c r="D54" s="43" t="s">
        <v>87</v>
      </c>
      <c r="E54" s="44" t="s">
        <v>60</v>
      </c>
      <c r="F54" s="45"/>
      <c r="G54" s="46">
        <f>1110*2</f>
        <v>2220</v>
      </c>
      <c r="H54" s="46"/>
      <c r="I54" s="47">
        <v>7</v>
      </c>
      <c r="J54" s="48"/>
      <c r="K54" s="49">
        <f>G54/I54</f>
        <v>317.14285714285717</v>
      </c>
      <c r="L54" s="48"/>
      <c r="M54" s="52"/>
    </row>
    <row r="55" spans="1:13" s="35" customFormat="1">
      <c r="A55" s="18">
        <f t="shared" si="0"/>
        <v>38</v>
      </c>
      <c r="B55" s="42">
        <v>41122</v>
      </c>
      <c r="C55" s="43" t="s">
        <v>86</v>
      </c>
      <c r="D55" s="43" t="s">
        <v>87</v>
      </c>
      <c r="E55" s="44" t="s">
        <v>61</v>
      </c>
      <c r="F55" s="45"/>
      <c r="G55" s="46">
        <v>21000</v>
      </c>
      <c r="H55" s="46"/>
      <c r="I55" s="47">
        <v>7</v>
      </c>
      <c r="J55" s="48"/>
      <c r="K55" s="49">
        <f>G55/I55</f>
        <v>3000</v>
      </c>
      <c r="L55" s="48"/>
      <c r="M55" s="52"/>
    </row>
    <row r="56" spans="1:13" s="35" customFormat="1">
      <c r="A56" s="18">
        <f t="shared" si="0"/>
        <v>39</v>
      </c>
      <c r="B56" s="42">
        <v>41122</v>
      </c>
      <c r="C56" s="43" t="s">
        <v>87</v>
      </c>
      <c r="D56" s="43" t="s">
        <v>88</v>
      </c>
      <c r="E56" s="44" t="s">
        <v>89</v>
      </c>
      <c r="F56" s="45"/>
      <c r="G56" s="46">
        <f>800*5</f>
        <v>4000</v>
      </c>
      <c r="H56" s="46"/>
      <c r="I56" s="47">
        <v>7</v>
      </c>
      <c r="J56" s="48"/>
      <c r="K56" s="49">
        <f>G56/I56</f>
        <v>571.42857142857144</v>
      </c>
      <c r="L56" s="48"/>
      <c r="M56" s="52" t="s">
        <v>90</v>
      </c>
    </row>
    <row r="57" spans="1:13" s="35" customFormat="1">
      <c r="A57" s="18">
        <f t="shared" si="0"/>
        <v>40</v>
      </c>
      <c r="B57" s="42">
        <v>41122</v>
      </c>
      <c r="C57" s="43" t="s">
        <v>86</v>
      </c>
      <c r="D57" s="43" t="s">
        <v>91</v>
      </c>
      <c r="E57" s="44" t="s">
        <v>51</v>
      </c>
      <c r="F57" s="45"/>
      <c r="G57" s="46">
        <v>5087</v>
      </c>
      <c r="H57" s="46"/>
      <c r="I57" s="47">
        <v>7</v>
      </c>
      <c r="J57" s="48"/>
      <c r="K57" s="49">
        <f t="shared" si="2"/>
        <v>726.71428571428567</v>
      </c>
      <c r="L57" s="48"/>
      <c r="M57" s="52"/>
    </row>
    <row r="58" spans="1:13" s="35" customFormat="1">
      <c r="A58" s="18">
        <f t="shared" si="0"/>
        <v>41</v>
      </c>
      <c r="B58" s="42">
        <v>41122</v>
      </c>
      <c r="C58" s="43" t="s">
        <v>86</v>
      </c>
      <c r="D58" s="43" t="s">
        <v>92</v>
      </c>
      <c r="E58" s="44" t="s">
        <v>93</v>
      </c>
      <c r="F58" s="45"/>
      <c r="G58" s="46">
        <f>5000</f>
        <v>5000</v>
      </c>
      <c r="H58" s="46"/>
      <c r="I58" s="47">
        <v>7</v>
      </c>
      <c r="J58" s="48"/>
      <c r="K58" s="49">
        <f>G58/I58</f>
        <v>714.28571428571433</v>
      </c>
      <c r="L58" s="48"/>
      <c r="M58" s="52" t="s">
        <v>94</v>
      </c>
    </row>
    <row r="59" spans="1:13" s="35" customFormat="1">
      <c r="A59" s="18">
        <f t="shared" si="0"/>
        <v>42</v>
      </c>
      <c r="B59" s="42">
        <v>41122</v>
      </c>
      <c r="C59" s="43" t="s">
        <v>92</v>
      </c>
      <c r="D59" s="43" t="s">
        <v>95</v>
      </c>
      <c r="E59" s="44" t="s">
        <v>96</v>
      </c>
      <c r="F59" s="45"/>
      <c r="G59" s="46">
        <f>1230+347</f>
        <v>1577</v>
      </c>
      <c r="H59" s="46"/>
      <c r="I59" s="47">
        <v>7</v>
      </c>
      <c r="J59" s="48"/>
      <c r="K59" s="49">
        <f>G59/I59</f>
        <v>225.28571428571428</v>
      </c>
      <c r="L59" s="48"/>
      <c r="M59" s="52"/>
    </row>
    <row r="60" spans="1:13" s="35" customFormat="1">
      <c r="A60" s="18">
        <f t="shared" si="0"/>
        <v>43</v>
      </c>
      <c r="B60" s="42">
        <v>41122</v>
      </c>
      <c r="C60" s="43" t="s">
        <v>95</v>
      </c>
      <c r="D60" s="43" t="s">
        <v>95</v>
      </c>
      <c r="E60" s="44" t="s">
        <v>93</v>
      </c>
      <c r="F60" s="45"/>
      <c r="G60" s="46">
        <v>1000</v>
      </c>
      <c r="H60" s="46"/>
      <c r="I60" s="47">
        <v>7</v>
      </c>
      <c r="J60" s="48"/>
      <c r="K60" s="49">
        <f>G60/I60</f>
        <v>142.85714285714286</v>
      </c>
      <c r="L60" s="48"/>
      <c r="M60" s="52" t="s">
        <v>97</v>
      </c>
    </row>
    <row r="61" spans="1:13" s="35" customFormat="1">
      <c r="A61" s="18">
        <f t="shared" si="0"/>
        <v>44</v>
      </c>
      <c r="B61" s="42">
        <v>41122</v>
      </c>
      <c r="C61" s="43" t="s">
        <v>86</v>
      </c>
      <c r="D61" s="43" t="s">
        <v>86</v>
      </c>
      <c r="E61" s="44" t="s">
        <v>83</v>
      </c>
      <c r="F61" s="45"/>
      <c r="G61" s="46">
        <v>7320</v>
      </c>
      <c r="H61" s="46"/>
      <c r="I61" s="47">
        <v>7</v>
      </c>
      <c r="J61" s="48"/>
      <c r="K61" s="49">
        <f t="shared" ref="K61:K67" si="3">G61/I61</f>
        <v>1045.7142857142858</v>
      </c>
      <c r="L61" s="48"/>
      <c r="M61" s="52"/>
    </row>
    <row r="62" spans="1:13" s="35" customFormat="1">
      <c r="A62" s="18">
        <f t="shared" si="0"/>
        <v>45</v>
      </c>
      <c r="B62" s="27">
        <v>41123</v>
      </c>
      <c r="C62" s="28" t="s">
        <v>87</v>
      </c>
      <c r="D62" s="28" t="s">
        <v>98</v>
      </c>
      <c r="E62" s="40" t="s">
        <v>60</v>
      </c>
      <c r="F62" s="13"/>
      <c r="G62" s="30">
        <f>930*2</f>
        <v>1860</v>
      </c>
      <c r="H62" s="30"/>
      <c r="I62" s="31">
        <v>7</v>
      </c>
      <c r="J62" s="32"/>
      <c r="K62" s="33">
        <f t="shared" si="3"/>
        <v>265.71428571428572</v>
      </c>
      <c r="L62" s="32"/>
      <c r="M62" s="41"/>
    </row>
    <row r="63" spans="1:13" s="35" customFormat="1">
      <c r="A63" s="18">
        <f t="shared" si="0"/>
        <v>46</v>
      </c>
      <c r="B63" s="27">
        <v>41123</v>
      </c>
      <c r="C63" s="28" t="s">
        <v>55</v>
      </c>
      <c r="D63" s="28" t="s">
        <v>99</v>
      </c>
      <c r="E63" s="40" t="s">
        <v>47</v>
      </c>
      <c r="F63" s="13"/>
      <c r="G63" s="30">
        <f>200*7</f>
        <v>1400</v>
      </c>
      <c r="H63" s="30"/>
      <c r="I63" s="31">
        <v>7</v>
      </c>
      <c r="J63" s="32"/>
      <c r="K63" s="33">
        <f t="shared" si="3"/>
        <v>200</v>
      </c>
      <c r="L63" s="32"/>
      <c r="M63" s="41"/>
    </row>
    <row r="64" spans="1:13" s="35" customFormat="1">
      <c r="A64" s="18">
        <f t="shared" si="0"/>
        <v>47</v>
      </c>
      <c r="B64" s="27">
        <v>41123</v>
      </c>
      <c r="C64" s="28" t="s">
        <v>99</v>
      </c>
      <c r="D64" s="28" t="s">
        <v>99</v>
      </c>
      <c r="E64" s="40" t="s">
        <v>93</v>
      </c>
      <c r="F64" s="13"/>
      <c r="G64" s="30">
        <f>500*7</f>
        <v>3500</v>
      </c>
      <c r="H64" s="30"/>
      <c r="I64" s="31">
        <v>7</v>
      </c>
      <c r="J64" s="32"/>
      <c r="K64" s="33">
        <f t="shared" si="3"/>
        <v>500</v>
      </c>
      <c r="L64" s="32"/>
      <c r="M64" s="41"/>
    </row>
    <row r="65" spans="1:13" s="35" customFormat="1">
      <c r="A65" s="18">
        <f t="shared" si="0"/>
        <v>48</v>
      </c>
      <c r="B65" s="27">
        <v>41123</v>
      </c>
      <c r="C65" s="28" t="s">
        <v>99</v>
      </c>
      <c r="D65" s="28" t="s">
        <v>100</v>
      </c>
      <c r="E65" s="40" t="s">
        <v>47</v>
      </c>
      <c r="F65" s="13"/>
      <c r="G65" s="30">
        <f>200*7</f>
        <v>1400</v>
      </c>
      <c r="H65" s="30"/>
      <c r="I65" s="31">
        <v>7</v>
      </c>
      <c r="J65" s="32"/>
      <c r="K65" s="33">
        <f t="shared" si="3"/>
        <v>200</v>
      </c>
      <c r="L65" s="32"/>
      <c r="M65" s="41"/>
    </row>
    <row r="66" spans="1:13" s="35" customFormat="1">
      <c r="A66" s="18">
        <f t="shared" si="0"/>
        <v>49</v>
      </c>
      <c r="B66" s="27">
        <v>41123</v>
      </c>
      <c r="C66" s="28" t="s">
        <v>100</v>
      </c>
      <c r="D66" s="28" t="s">
        <v>101</v>
      </c>
      <c r="E66" s="40" t="s">
        <v>102</v>
      </c>
      <c r="F66" s="13"/>
      <c r="G66" s="30">
        <f>100*5</f>
        <v>500</v>
      </c>
      <c r="H66" s="30"/>
      <c r="I66" s="31">
        <v>7</v>
      </c>
      <c r="J66" s="32"/>
      <c r="K66" s="33">
        <f t="shared" si="3"/>
        <v>71.428571428571431</v>
      </c>
      <c r="L66" s="32"/>
      <c r="M66" s="41"/>
    </row>
    <row r="67" spans="1:13" s="35" customFormat="1">
      <c r="A67" s="18">
        <f t="shared" si="0"/>
        <v>50</v>
      </c>
      <c r="B67" s="27">
        <v>41123</v>
      </c>
      <c r="C67" s="28" t="s">
        <v>100</v>
      </c>
      <c r="D67" s="28" t="s">
        <v>54</v>
      </c>
      <c r="E67" s="40" t="s">
        <v>56</v>
      </c>
      <c r="F67" s="13"/>
      <c r="G67" s="30">
        <f>850*7</f>
        <v>5950</v>
      </c>
      <c r="H67" s="30"/>
      <c r="I67" s="31">
        <v>7</v>
      </c>
      <c r="J67" s="32"/>
      <c r="K67" s="33">
        <f t="shared" si="3"/>
        <v>850</v>
      </c>
      <c r="L67" s="32"/>
      <c r="M67" s="41"/>
    </row>
    <row r="68" spans="1:13" s="35" customFormat="1">
      <c r="A68" s="18">
        <f t="shared" si="0"/>
        <v>51</v>
      </c>
      <c r="B68" s="27">
        <v>41123</v>
      </c>
      <c r="C68" s="28" t="s">
        <v>54</v>
      </c>
      <c r="D68" s="28" t="s">
        <v>54</v>
      </c>
      <c r="E68" s="40" t="s">
        <v>91</v>
      </c>
      <c r="F68" s="13"/>
      <c r="G68" s="30">
        <v>3091</v>
      </c>
      <c r="H68" s="30"/>
      <c r="I68" s="31">
        <v>7</v>
      </c>
      <c r="J68" s="32"/>
      <c r="K68" s="33">
        <f>G68/I68</f>
        <v>441.57142857142856</v>
      </c>
      <c r="L68" s="32"/>
      <c r="M68" s="41"/>
    </row>
    <row r="69" spans="1:13" s="35" customFormat="1">
      <c r="A69" s="18">
        <f t="shared" si="0"/>
        <v>52</v>
      </c>
      <c r="B69" s="27">
        <v>41123</v>
      </c>
      <c r="C69" s="28" t="s">
        <v>103</v>
      </c>
      <c r="D69" s="28" t="s">
        <v>103</v>
      </c>
      <c r="E69" s="28" t="s">
        <v>104</v>
      </c>
      <c r="F69" s="13">
        <f>39000*7</f>
        <v>273000</v>
      </c>
      <c r="G69" s="30"/>
      <c r="H69" s="30"/>
      <c r="I69" s="31">
        <v>7</v>
      </c>
      <c r="J69" s="32">
        <f t="shared" ref="J69:J75" si="4">F69/I69</f>
        <v>39000</v>
      </c>
      <c r="K69" s="33"/>
      <c r="L69" s="32"/>
      <c r="M69" s="41"/>
    </row>
    <row r="70" spans="1:13" s="35" customFormat="1">
      <c r="A70" s="18">
        <f t="shared" si="0"/>
        <v>53</v>
      </c>
      <c r="B70" s="27">
        <v>41123</v>
      </c>
      <c r="C70" s="28" t="s">
        <v>105</v>
      </c>
      <c r="D70" s="28" t="s">
        <v>106</v>
      </c>
      <c r="E70" s="40" t="s">
        <v>49</v>
      </c>
      <c r="F70" s="13">
        <f>1500*7</f>
        <v>10500</v>
      </c>
      <c r="G70" s="30"/>
      <c r="H70" s="30"/>
      <c r="I70" s="31">
        <v>7</v>
      </c>
      <c r="J70" s="32">
        <f t="shared" si="4"/>
        <v>1500</v>
      </c>
      <c r="K70" s="33"/>
      <c r="L70" s="32"/>
      <c r="M70" s="41"/>
    </row>
    <row r="71" spans="1:13" s="35" customFormat="1">
      <c r="A71" s="18">
        <f t="shared" si="0"/>
        <v>54</v>
      </c>
      <c r="B71" s="27">
        <v>41123</v>
      </c>
      <c r="C71" s="28" t="s">
        <v>46</v>
      </c>
      <c r="D71" s="28" t="s">
        <v>36</v>
      </c>
      <c r="E71" s="40" t="s">
        <v>47</v>
      </c>
      <c r="F71" s="13">
        <v>44100</v>
      </c>
      <c r="G71" s="30"/>
      <c r="H71" s="30"/>
      <c r="I71" s="31">
        <v>7</v>
      </c>
      <c r="J71" s="32">
        <f t="shared" si="4"/>
        <v>6300</v>
      </c>
      <c r="K71" s="33"/>
      <c r="L71" s="32"/>
      <c r="M71" s="41"/>
    </row>
    <row r="72" spans="1:13" s="35" customFormat="1">
      <c r="A72" s="18">
        <f t="shared" si="0"/>
        <v>55</v>
      </c>
      <c r="B72" s="27">
        <v>41123</v>
      </c>
      <c r="C72" s="28" t="s">
        <v>107</v>
      </c>
      <c r="D72" s="28" t="s">
        <v>108</v>
      </c>
      <c r="E72" s="40" t="s">
        <v>60</v>
      </c>
      <c r="F72" s="13">
        <v>10000</v>
      </c>
      <c r="G72" s="30"/>
      <c r="H72" s="30"/>
      <c r="I72" s="31">
        <v>7</v>
      </c>
      <c r="J72" s="32">
        <f t="shared" si="4"/>
        <v>1428.5714285714287</v>
      </c>
      <c r="K72" s="33"/>
      <c r="L72" s="32"/>
      <c r="M72" s="41"/>
    </row>
    <row r="73" spans="1:13" s="35" customFormat="1">
      <c r="A73" s="18">
        <f t="shared" si="0"/>
        <v>56</v>
      </c>
      <c r="B73" s="27">
        <v>41123</v>
      </c>
      <c r="C73" s="28" t="s">
        <v>36</v>
      </c>
      <c r="D73" s="28" t="s">
        <v>109</v>
      </c>
      <c r="E73" s="55" t="s">
        <v>110</v>
      </c>
      <c r="F73" s="13">
        <v>161000</v>
      </c>
      <c r="G73" s="30"/>
      <c r="H73" s="30"/>
      <c r="I73" s="31">
        <v>7</v>
      </c>
      <c r="J73" s="32">
        <f t="shared" si="4"/>
        <v>23000</v>
      </c>
      <c r="K73" s="33"/>
      <c r="L73" s="32"/>
      <c r="M73" s="41"/>
    </row>
    <row r="74" spans="1:13" s="35" customFormat="1">
      <c r="A74" s="18">
        <f t="shared" si="0"/>
        <v>57</v>
      </c>
      <c r="B74" s="27">
        <v>41123</v>
      </c>
      <c r="C74" s="28" t="s">
        <v>103</v>
      </c>
      <c r="D74" s="28" t="s">
        <v>103</v>
      </c>
      <c r="E74" s="28" t="s">
        <v>111</v>
      </c>
      <c r="F74" s="13">
        <v>15840</v>
      </c>
      <c r="G74" s="30"/>
      <c r="H74" s="30"/>
      <c r="I74" s="31">
        <v>7</v>
      </c>
      <c r="J74" s="32">
        <f t="shared" si="4"/>
        <v>2262.8571428571427</v>
      </c>
      <c r="K74" s="33"/>
      <c r="L74" s="32"/>
      <c r="M74" s="41"/>
    </row>
    <row r="75" spans="1:13" s="35" customFormat="1">
      <c r="A75" s="18">
        <f t="shared" si="0"/>
        <v>58</v>
      </c>
      <c r="B75" s="27">
        <v>41123</v>
      </c>
      <c r="C75" s="28" t="s">
        <v>112</v>
      </c>
      <c r="D75" s="28" t="s">
        <v>112</v>
      </c>
      <c r="E75" s="28" t="s">
        <v>113</v>
      </c>
      <c r="F75" s="13">
        <f>7500*6</f>
        <v>45000</v>
      </c>
      <c r="G75" s="30"/>
      <c r="H75" s="30"/>
      <c r="I75" s="31">
        <v>7</v>
      </c>
      <c r="J75" s="32">
        <f t="shared" si="4"/>
        <v>6428.5714285714284</v>
      </c>
      <c r="K75" s="33"/>
      <c r="L75" s="13"/>
      <c r="M75" s="41"/>
    </row>
    <row r="76" spans="1:13" s="35" customFormat="1">
      <c r="A76" s="18">
        <f t="shared" si="0"/>
        <v>59</v>
      </c>
      <c r="B76" s="27"/>
      <c r="C76" s="28"/>
      <c r="D76" s="28"/>
      <c r="E76" s="28"/>
      <c r="F76" s="13"/>
      <c r="G76" s="30"/>
      <c r="H76" s="30"/>
      <c r="I76" s="18"/>
      <c r="J76" s="13"/>
      <c r="K76" s="30"/>
      <c r="L76" s="13"/>
      <c r="M76" s="41"/>
    </row>
    <row r="77" spans="1:13">
      <c r="A77" s="18">
        <f t="shared" si="0"/>
        <v>60</v>
      </c>
      <c r="B77" s="56"/>
      <c r="C77" s="57"/>
      <c r="D77" s="57"/>
      <c r="E77" s="57"/>
      <c r="F77" s="58"/>
      <c r="G77" s="59"/>
      <c r="H77" s="59"/>
      <c r="I77" s="60"/>
      <c r="J77" s="58"/>
      <c r="K77" s="59"/>
      <c r="L77" s="58"/>
      <c r="M77" s="61"/>
    </row>
    <row r="78" spans="1:13">
      <c r="A78" s="18">
        <f t="shared" si="0"/>
        <v>61</v>
      </c>
      <c r="B78" s="56"/>
      <c r="C78" s="57"/>
      <c r="D78" s="57"/>
      <c r="E78" s="57"/>
      <c r="F78" s="58"/>
      <c r="G78" s="59"/>
      <c r="H78" s="59"/>
      <c r="I78" s="60"/>
      <c r="J78" s="58"/>
      <c r="K78" s="59"/>
      <c r="L78" s="58"/>
      <c r="M78" s="61"/>
    </row>
    <row r="79" spans="1:13">
      <c r="A79" s="18">
        <f t="shared" si="0"/>
        <v>62</v>
      </c>
      <c r="B79" s="56"/>
      <c r="C79" s="57"/>
      <c r="D79" s="57"/>
      <c r="E79" s="57"/>
      <c r="F79" s="58"/>
      <c r="G79" s="59"/>
      <c r="H79" s="59"/>
      <c r="I79" s="60"/>
      <c r="J79" s="58"/>
      <c r="K79" s="59"/>
      <c r="L79" s="58"/>
      <c r="M79" s="61"/>
    </row>
    <row r="80" spans="1:13">
      <c r="A80" s="18">
        <f t="shared" si="0"/>
        <v>63</v>
      </c>
      <c r="B80" s="56"/>
      <c r="C80" s="57"/>
      <c r="D80" s="57"/>
      <c r="E80" s="57"/>
      <c r="F80" s="58"/>
      <c r="G80" s="59"/>
      <c r="H80" s="59"/>
      <c r="I80" s="60"/>
      <c r="J80" s="58"/>
      <c r="K80" s="59"/>
      <c r="L80" s="58"/>
      <c r="M80" s="61"/>
    </row>
    <row r="85" spans="6:6">
      <c r="F85" s="62"/>
    </row>
    <row r="86" spans="6:6">
      <c r="F86" s="62"/>
    </row>
    <row r="87" spans="6:6">
      <c r="F87" s="62"/>
    </row>
    <row r="88" spans="6:6">
      <c r="F88" s="62"/>
    </row>
    <row r="89" spans="6:6">
      <c r="F89" s="62"/>
    </row>
    <row r="90" spans="6:6">
      <c r="F90" s="62"/>
    </row>
    <row r="91" spans="6:6">
      <c r="F91" s="62"/>
    </row>
    <row r="92" spans="6:6">
      <c r="F92" s="62"/>
    </row>
    <row r="93" spans="6:6">
      <c r="F93" s="62"/>
    </row>
  </sheetData>
  <mergeCells count="7">
    <mergeCell ref="G3:H3"/>
    <mergeCell ref="A16:E16"/>
    <mergeCell ref="F16:K16"/>
    <mergeCell ref="L16:L17"/>
    <mergeCell ref="M16:M17"/>
    <mergeCell ref="F17:H17"/>
    <mergeCell ref="J17:K1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정은화</dc:creator>
  <cp:lastModifiedBy>정은화</cp:lastModifiedBy>
  <dcterms:created xsi:type="dcterms:W3CDTF">2012-08-03T08:19:03Z</dcterms:created>
  <dcterms:modified xsi:type="dcterms:W3CDTF">2012-08-03T08:21:24Z</dcterms:modified>
</cp:coreProperties>
</file>